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reaAcquisti\AFFARI GENERALI\MODELLO ORGANIZZATIVO 231\DA GIUGNO 2021\AGGIORNAMENTO SITO DAL 1.1 AL 31.12.26\DAL 1.7.26 AL 30.9.26\3_Affiti e locazione\"/>
    </mc:Choice>
  </mc:AlternateContent>
  <xr:revisionPtr revIDLastSave="0" documentId="13_ncr:1_{60D855FE-6FE4-456A-9095-A06E1D5D1692}" xr6:coauthVersionLast="47" xr6:coauthVersionMax="47" xr10:uidLastSave="{00000000-0000-0000-0000-000000000000}"/>
  <bookViews>
    <workbookView xWindow="4236" yWindow="804" windowWidth="17280" windowHeight="8880" activeTab="2" xr2:uid="{CB0D7C91-411F-4BFD-BE39-A0024D921CB3}"/>
  </bookViews>
  <sheets>
    <sheet name="31.3.26" sheetId="1" r:id="rId1"/>
    <sheet name="30.6.26" sheetId="2" r:id="rId2"/>
    <sheet name="30.9.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" i="1" l="1"/>
  <c r="Y11" i="1"/>
  <c r="Y6" i="1"/>
  <c r="Y5" i="1"/>
  <c r="Y4" i="1"/>
  <c r="Y9" i="1" l="1"/>
  <c r="Y8" i="1"/>
  <c r="Y7" i="1"/>
  <c r="X12" i="1"/>
  <c r="X6" i="1"/>
  <c r="W12" i="1"/>
  <c r="W6" i="1"/>
  <c r="V12" i="1"/>
  <c r="X11" i="1"/>
  <c r="W11" i="1"/>
  <c r="V11" i="1"/>
  <c r="X10" i="1"/>
  <c r="W10" i="1"/>
  <c r="V6" i="1"/>
  <c r="X5" i="1"/>
  <c r="W5" i="1"/>
  <c r="V5" i="1"/>
  <c r="X4" i="1"/>
  <c r="W4" i="1"/>
  <c r="V4" i="1"/>
  <c r="U13" i="1"/>
  <c r="U4" i="1" l="1"/>
  <c r="U14" i="1" s="1"/>
  <c r="T6" i="1"/>
  <c r="T12" i="1" l="1"/>
  <c r="T11" i="1" l="1"/>
  <c r="T13" i="1"/>
  <c r="S13" i="1"/>
  <c r="T5" i="1"/>
  <c r="T10" i="1"/>
  <c r="T4" i="1" l="1"/>
  <c r="T14" i="1" s="1"/>
  <c r="S12" i="1" l="1"/>
  <c r="S11" i="1" l="1"/>
  <c r="S10" i="1"/>
  <c r="S4" i="1"/>
  <c r="S5" i="1"/>
  <c r="R12" i="1"/>
  <c r="R13" i="1"/>
  <c r="R11" i="1"/>
  <c r="R10" i="1"/>
  <c r="R5" i="1" l="1"/>
  <c r="R4" i="1"/>
  <c r="R9" i="1"/>
  <c r="S9" i="1" s="1"/>
  <c r="S14" i="1" s="1"/>
  <c r="Q12" i="1"/>
  <c r="Q10" i="1"/>
  <c r="R14" i="1" l="1"/>
  <c r="Q6" i="1"/>
  <c r="Q5" i="1"/>
  <c r="Q4" i="1"/>
  <c r="Q14" i="1" s="1"/>
  <c r="P12" i="1"/>
  <c r="P11" i="1"/>
  <c r="P10" i="1"/>
  <c r="P6" i="1"/>
  <c r="P5" i="1"/>
  <c r="P4" i="1"/>
  <c r="O11" i="1"/>
  <c r="O10" i="1"/>
  <c r="O12" i="1"/>
  <c r="O6" i="1"/>
  <c r="O5" i="1"/>
  <c r="O4" i="1"/>
  <c r="N12" i="1"/>
  <c r="L12" i="1"/>
  <c r="N9" i="1"/>
  <c r="L9" i="1"/>
  <c r="K9" i="1" s="1"/>
  <c r="N6" i="1"/>
  <c r="M6" i="1" s="1"/>
  <c r="N5" i="1"/>
  <c r="L5" i="1"/>
  <c r="K5" i="1" s="1"/>
  <c r="N4" i="1"/>
  <c r="M3" i="1"/>
  <c r="K6" i="1"/>
  <c r="K7" i="1"/>
  <c r="K8" i="1"/>
  <c r="L10" i="1"/>
  <c r="M10" i="1" s="1"/>
  <c r="L11" i="1"/>
  <c r="K11" i="1" s="1"/>
  <c r="L3" i="1"/>
  <c r="K3" i="1" s="1"/>
  <c r="J12" i="1"/>
  <c r="I14" i="1"/>
  <c r="H14" i="1"/>
  <c r="G14" i="1"/>
  <c r="F14" i="1"/>
  <c r="E14" i="1"/>
  <c r="D14" i="1"/>
  <c r="O9" i="1" l="1"/>
  <c r="O14" i="1" s="1"/>
  <c r="P9" i="1"/>
  <c r="P14" i="1" s="1"/>
  <c r="M12" i="1"/>
  <c r="M5" i="1"/>
  <c r="N3" i="1"/>
  <c r="N14" i="1" s="1"/>
  <c r="M11" i="1"/>
  <c r="M9" i="1"/>
  <c r="K12" i="1"/>
  <c r="J14" i="1"/>
  <c r="L14" i="1"/>
  <c r="K10" i="1"/>
  <c r="M14" i="1" l="1"/>
  <c r="K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Giuliana Pedroncelli</author>
  </authors>
  <commentList>
    <comment ref="C4" authorId="0" shapeId="0" xr:uid="{6E4CA782-E58D-4674-AC92-2B19B6A49672}">
      <text>
        <r>
          <rPr>
            <b/>
            <sz val="9"/>
            <color indexed="81"/>
            <rFont val="Tahoma"/>
            <family val="2"/>
          </rPr>
          <t>Giuliana Pedroncelli:</t>
        </r>
        <r>
          <rPr>
            <sz val="9"/>
            <color indexed="81"/>
            <rFont val="Tahoma"/>
            <family val="2"/>
          </rPr>
          <t xml:space="preserve">
nuovo affitto dal 01.10.2021 Soreval ex Geolink)</t>
        </r>
      </text>
    </comment>
  </commentList>
</comments>
</file>

<file path=xl/sharedStrings.xml><?xml version="1.0" encoding="utf-8"?>
<sst xmlns="http://schemas.openxmlformats.org/spreadsheetml/2006/main" count="46" uniqueCount="29">
  <si>
    <t xml:space="preserve">IMMOBILE </t>
  </si>
  <si>
    <t>UBICAZIONE</t>
  </si>
  <si>
    <t>Treviglio</t>
  </si>
  <si>
    <t>Romano</t>
  </si>
  <si>
    <t>Clusone</t>
  </si>
  <si>
    <t>Borlezze</t>
  </si>
  <si>
    <t>Busgarina</t>
  </si>
  <si>
    <t>Carvico</t>
  </si>
  <si>
    <t>Colere</t>
  </si>
  <si>
    <t>Sotto il Monte</t>
  </si>
  <si>
    <t>01.06.2021-31.08.2021</t>
  </si>
  <si>
    <t>31.05.2021</t>
  </si>
  <si>
    <t>31.08.2021</t>
  </si>
  <si>
    <t>01.09.2021-31.12.2021</t>
  </si>
  <si>
    <t>31.12.2021</t>
  </si>
  <si>
    <t xml:space="preserve">Treviglio </t>
  </si>
  <si>
    <t>VIA BATTISTI 8</t>
  </si>
  <si>
    <t>30.04.2022</t>
  </si>
  <si>
    <t>31.08.2022</t>
  </si>
  <si>
    <t>31.12.2022</t>
  </si>
  <si>
    <t>com clusone</t>
  </si>
  <si>
    <t>MARCO Polo  Treviglio - Puntuale</t>
  </si>
  <si>
    <t>30.04.2023</t>
  </si>
  <si>
    <t>31.08.2023</t>
  </si>
  <si>
    <t>30.09.2023</t>
  </si>
  <si>
    <t>31.12.2023</t>
  </si>
  <si>
    <t>DATO AL 31/03/2026</t>
  </si>
  <si>
    <t>DATO AL 30/06/2026</t>
  </si>
  <si>
    <t>DATO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</si>
</sst>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\ &quot;€&quot;_-;\-* #,##0\ &quot;€&quot;_-;_-* &quot;-&quot;??\ &quot;€&quot;_-;_-@_-"/>
    <numFmt numFmtId="166" formatCode="_-* #,##0.00\ [$€-410]_-;\-* #,##0.00\ [$€-410]_-;_-* &quot;-&quot;??\ [$€-410]_-;_-@_-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44" fontId="0" fillId="0" borderId="0" xfId="0" applyNumberFormat="1"/>
    <xf numFmtId="0" fontId="5" fillId="0" borderId="1" xfId="0" applyFont="1" applyBorder="1"/>
    <xf numFmtId="43" fontId="5" fillId="0" borderId="1" xfId="1" applyFont="1" applyFill="1" applyBorder="1"/>
    <xf numFmtId="44" fontId="5" fillId="0" borderId="1" xfId="0" applyNumberFormat="1" applyFont="1" applyBorder="1"/>
    <xf numFmtId="164" fontId="0" fillId="0" borderId="0" xfId="0" applyNumberFormat="1"/>
    <xf numFmtId="14" fontId="0" fillId="0" borderId="0" xfId="0" applyNumberFormat="1"/>
    <xf numFmtId="4" fontId="6" fillId="0" borderId="0" xfId="0" applyNumberFormat="1" applyFont="1"/>
    <xf numFmtId="2" fontId="6" fillId="0" borderId="0" xfId="0" applyNumberFormat="1" applyFont="1"/>
    <xf numFmtId="44" fontId="0" fillId="3" borderId="0" xfId="0" applyNumberFormat="1" applyFill="1"/>
    <xf numFmtId="44" fontId="0" fillId="0" borderId="2" xfId="0" applyNumberFormat="1" applyBorder="1"/>
    <xf numFmtId="43" fontId="0" fillId="0" borderId="0" xfId="1" applyFont="1"/>
    <xf numFmtId="165" fontId="0" fillId="0" borderId="1" xfId="0" applyNumberFormat="1" applyBorder="1"/>
    <xf numFmtId="165" fontId="0" fillId="0" borderId="0" xfId="0" applyNumberFormat="1"/>
    <xf numFmtId="165" fontId="0" fillId="0" borderId="3" xfId="0" applyNumberFormat="1" applyBorder="1"/>
    <xf numFmtId="165" fontId="5" fillId="0" borderId="1" xfId="1" applyNumberFormat="1" applyFont="1" applyFill="1" applyBorder="1"/>
    <xf numFmtId="0" fontId="0" fillId="0" borderId="4" xfId="0" applyBorder="1"/>
    <xf numFmtId="44" fontId="0" fillId="0" borderId="4" xfId="0" applyNumberFormat="1" applyBorder="1"/>
    <xf numFmtId="44" fontId="0" fillId="3" borderId="4" xfId="0" applyNumberForma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/>
    <xf numFmtId="44" fontId="0" fillId="0" borderId="9" xfId="0" applyNumberFormat="1" applyBorder="1"/>
    <xf numFmtId="165" fontId="0" fillId="0" borderId="9" xfId="0" applyNumberFormat="1" applyBorder="1"/>
    <xf numFmtId="0" fontId="0" fillId="0" borderId="11" xfId="0" applyBorder="1"/>
    <xf numFmtId="0" fontId="0" fillId="0" borderId="12" xfId="0" applyBorder="1"/>
    <xf numFmtId="44" fontId="0" fillId="0" borderId="12" xfId="0" applyNumberFormat="1" applyBorder="1"/>
    <xf numFmtId="165" fontId="0" fillId="0" borderId="12" xfId="0" applyNumberFormat="1" applyBorder="1"/>
    <xf numFmtId="165" fontId="0" fillId="3" borderId="12" xfId="0" applyNumberFormat="1" applyFill="1" applyBorder="1"/>
    <xf numFmtId="0" fontId="5" fillId="0" borderId="14" xfId="0" applyFont="1" applyBorder="1"/>
    <xf numFmtId="0" fontId="5" fillId="0" borderId="15" xfId="0" applyFont="1" applyBorder="1"/>
    <xf numFmtId="43" fontId="5" fillId="0" borderId="15" xfId="1" applyFont="1" applyFill="1" applyBorder="1"/>
    <xf numFmtId="44" fontId="5" fillId="0" borderId="15" xfId="0" applyNumberFormat="1" applyFont="1" applyBorder="1"/>
    <xf numFmtId="165" fontId="5" fillId="0" borderId="15" xfId="1" applyNumberFormat="1" applyFont="1" applyFill="1" applyBorder="1"/>
    <xf numFmtId="165" fontId="0" fillId="0" borderId="15" xfId="0" applyNumberFormat="1" applyBorder="1"/>
    <xf numFmtId="165" fontId="0" fillId="0" borderId="15" xfId="1" applyNumberFormat="1" applyFont="1" applyFill="1" applyBorder="1"/>
    <xf numFmtId="44" fontId="0" fillId="0" borderId="15" xfId="0" applyNumberFormat="1" applyBorder="1"/>
    <xf numFmtId="0" fontId="0" fillId="0" borderId="15" xfId="0" applyBorder="1"/>
    <xf numFmtId="43" fontId="0" fillId="0" borderId="15" xfId="1" applyFont="1" applyFill="1" applyBorder="1"/>
    <xf numFmtId="166" fontId="0" fillId="4" borderId="10" xfId="1" applyNumberFormat="1" applyFont="1" applyFill="1" applyBorder="1"/>
    <xf numFmtId="166" fontId="0" fillId="4" borderId="13" xfId="1" applyNumberFormat="1" applyFont="1" applyFill="1" applyBorder="1"/>
    <xf numFmtId="166" fontId="0" fillId="4" borderId="16" xfId="1" applyNumberFormat="1" applyFont="1" applyFill="1" applyBorder="1"/>
    <xf numFmtId="0" fontId="0" fillId="0" borderId="17" xfId="0" applyBorder="1"/>
    <xf numFmtId="3" fontId="0" fillId="0" borderId="18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3" fontId="0" fillId="0" borderId="21" xfId="0" applyNumberFormat="1" applyBorder="1"/>
    <xf numFmtId="0" fontId="0" fillId="4" borderId="22" xfId="0" applyFill="1" applyBorder="1"/>
    <xf numFmtId="0" fontId="0" fillId="4" borderId="23" xfId="0" applyFill="1" applyBorder="1"/>
    <xf numFmtId="14" fontId="0" fillId="4" borderId="24" xfId="0" applyNumberFormat="1" applyFill="1" applyBorder="1"/>
    <xf numFmtId="14" fontId="2" fillId="0" borderId="0" xfId="0" applyNumberFormat="1" applyFont="1" applyAlignment="1">
      <alignment horizontal="center"/>
    </xf>
    <xf numFmtId="167" fontId="0" fillId="0" borderId="0" xfId="1" applyNumberFormat="1" applyFont="1" applyFill="1" applyBorder="1"/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4" fontId="2" fillId="5" borderId="7" xfId="0" applyNumberFormat="1" applyFont="1" applyFill="1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26" xfId="0" applyBorder="1"/>
    <xf numFmtId="166" fontId="0" fillId="0" borderId="27" xfId="1" applyNumberFormat="1" applyFont="1" applyFill="1" applyBorder="1"/>
    <xf numFmtId="0" fontId="0" fillId="0" borderId="28" xfId="0" applyBorder="1"/>
    <xf numFmtId="166" fontId="0" fillId="0" borderId="29" xfId="1" applyNumberFormat="1" applyFont="1" applyFill="1" applyBorder="1"/>
    <xf numFmtId="0" fontId="5" fillId="0" borderId="30" xfId="0" applyFont="1" applyBorder="1"/>
    <xf numFmtId="0" fontId="5" fillId="0" borderId="31" xfId="0" applyFont="1" applyBorder="1"/>
    <xf numFmtId="166" fontId="0" fillId="0" borderId="32" xfId="1" applyNumberFormat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6C4C-A9BE-4719-A507-47854FD2434B}">
  <sheetPr>
    <pageSetUpPr fitToPage="1"/>
  </sheetPr>
  <dimension ref="B1:Y21"/>
  <sheetViews>
    <sheetView workbookViewId="0">
      <selection activeCell="C16" sqref="C16"/>
    </sheetView>
  </sheetViews>
  <sheetFormatPr defaultRowHeight="14.4" x14ac:dyDescent="0.3"/>
  <cols>
    <col min="1" max="1" width="2.77734375" customWidth="1"/>
    <col min="2" max="2" width="12" customWidth="1"/>
    <col min="3" max="3" width="22" customWidth="1"/>
    <col min="4" max="10" width="13.21875" hidden="1" customWidth="1"/>
    <col min="11" max="11" width="20.21875" hidden="1" customWidth="1"/>
    <col min="12" max="12" width="13.21875" hidden="1" customWidth="1"/>
    <col min="13" max="13" width="20.21875" hidden="1" customWidth="1"/>
    <col min="14" max="19" width="13.21875" hidden="1" customWidth="1"/>
    <col min="20" max="21" width="15.21875" hidden="1" customWidth="1"/>
    <col min="22" max="24" width="13.21875" hidden="1" customWidth="1"/>
    <col min="25" max="25" width="15.21875" customWidth="1"/>
    <col min="28" max="28" width="10.5546875" bestFit="1" customWidth="1"/>
    <col min="29" max="29" width="9.77734375" bestFit="1" customWidth="1"/>
    <col min="30" max="30" width="10.5546875" bestFit="1" customWidth="1"/>
  </cols>
  <sheetData>
    <row r="1" spans="2:25" ht="31.5" customHeight="1" thickBot="1" x14ac:dyDescent="0.35">
      <c r="B1" t="s">
        <v>26</v>
      </c>
    </row>
    <row r="2" spans="2:25" ht="15" thickBot="1" x14ac:dyDescent="0.35">
      <c r="B2" s="19" t="s">
        <v>0</v>
      </c>
      <c r="C2" s="20" t="s">
        <v>1</v>
      </c>
      <c r="D2" s="20">
        <v>2015</v>
      </c>
      <c r="E2" s="20">
        <v>2016</v>
      </c>
      <c r="F2" s="20">
        <v>2017</v>
      </c>
      <c r="G2" s="20">
        <v>2018</v>
      </c>
      <c r="H2" s="20">
        <v>2019</v>
      </c>
      <c r="I2" s="20">
        <v>2020</v>
      </c>
      <c r="J2" s="21" t="s">
        <v>11</v>
      </c>
      <c r="K2" s="21" t="s">
        <v>10</v>
      </c>
      <c r="L2" s="21" t="s">
        <v>12</v>
      </c>
      <c r="M2" s="21" t="s">
        <v>13</v>
      </c>
      <c r="N2" s="21" t="s">
        <v>14</v>
      </c>
      <c r="O2" s="21" t="s">
        <v>17</v>
      </c>
      <c r="P2" s="21" t="s">
        <v>18</v>
      </c>
      <c r="Q2" s="21" t="s">
        <v>19</v>
      </c>
      <c r="R2" s="21" t="s">
        <v>22</v>
      </c>
      <c r="S2" s="21" t="s">
        <v>23</v>
      </c>
      <c r="T2" s="21" t="s">
        <v>24</v>
      </c>
      <c r="U2" s="21" t="s">
        <v>25</v>
      </c>
      <c r="V2" s="21">
        <v>45382</v>
      </c>
      <c r="W2" s="21">
        <v>45473</v>
      </c>
      <c r="X2" s="21">
        <v>45565</v>
      </c>
      <c r="Y2" s="22">
        <v>46112</v>
      </c>
    </row>
    <row r="3" spans="2:25" hidden="1" x14ac:dyDescent="0.3">
      <c r="B3" s="16">
        <v>1</v>
      </c>
      <c r="C3" s="16" t="s">
        <v>2</v>
      </c>
      <c r="D3" s="17">
        <v>35000</v>
      </c>
      <c r="E3" s="17">
        <v>35000</v>
      </c>
      <c r="F3" s="17">
        <v>44000</v>
      </c>
      <c r="G3" s="17">
        <v>53000</v>
      </c>
      <c r="H3" s="17">
        <v>53000</v>
      </c>
      <c r="I3" s="17">
        <v>53000</v>
      </c>
      <c r="J3" s="17">
        <v>22083.33</v>
      </c>
      <c r="K3" s="17">
        <f>+L3-J3</f>
        <v>13250.003333333334</v>
      </c>
      <c r="L3" s="17">
        <f>53000/12*8</f>
        <v>35333.333333333336</v>
      </c>
      <c r="M3" s="17">
        <f>13250/3*1</f>
        <v>4416.666666666667</v>
      </c>
      <c r="N3" s="17">
        <f>+L3+M3</f>
        <v>39750</v>
      </c>
      <c r="O3" s="18"/>
      <c r="P3" s="18"/>
      <c r="Q3" s="18"/>
      <c r="R3" s="18"/>
      <c r="S3" s="9"/>
      <c r="T3" s="1" t="s">
        <v>16</v>
      </c>
      <c r="U3" s="10"/>
      <c r="V3" s="16"/>
    </row>
    <row r="4" spans="2:25" x14ac:dyDescent="0.3">
      <c r="B4" s="23">
        <v>1</v>
      </c>
      <c r="C4" s="24" t="s">
        <v>15</v>
      </c>
      <c r="D4" s="25"/>
      <c r="E4" s="25"/>
      <c r="F4" s="25"/>
      <c r="G4" s="25"/>
      <c r="H4" s="25"/>
      <c r="I4" s="25"/>
      <c r="J4" s="25"/>
      <c r="K4" s="25"/>
      <c r="L4" s="25"/>
      <c r="M4" s="25">
        <v>15000</v>
      </c>
      <c r="N4" s="26">
        <f>+M4</f>
        <v>15000</v>
      </c>
      <c r="O4" s="26">
        <f>5000*4</f>
        <v>20000</v>
      </c>
      <c r="P4" s="26">
        <f>5000*8</f>
        <v>40000</v>
      </c>
      <c r="Q4" s="26">
        <f>5000*9+15835.25</f>
        <v>60835.25</v>
      </c>
      <c r="R4" s="26">
        <f>5278*4</f>
        <v>21112</v>
      </c>
      <c r="S4" s="26">
        <f>5278.41*8</f>
        <v>42227.28</v>
      </c>
      <c r="T4" s="26">
        <f>5278.41*9</f>
        <v>47505.69</v>
      </c>
      <c r="U4" s="26">
        <f>5278.41*9+5468.03*3-780</f>
        <v>63129.78</v>
      </c>
      <c r="V4" s="25">
        <f>5468.03*3</f>
        <v>16404.09</v>
      </c>
      <c r="W4" s="25">
        <f>5468.03*6</f>
        <v>32808.18</v>
      </c>
      <c r="X4" s="25">
        <f>5468.03*9</f>
        <v>49212.27</v>
      </c>
      <c r="Y4" s="42">
        <f>5135.02*3</f>
        <v>15405.060000000001</v>
      </c>
    </row>
    <row r="5" spans="2:25" x14ac:dyDescent="0.3">
      <c r="B5" s="27">
        <v>2</v>
      </c>
      <c r="C5" s="28" t="s">
        <v>2</v>
      </c>
      <c r="D5" s="29">
        <v>174949.32</v>
      </c>
      <c r="E5" s="29">
        <v>174949.32</v>
      </c>
      <c r="F5" s="29">
        <v>175124.28</v>
      </c>
      <c r="G5" s="29">
        <v>176525.28</v>
      </c>
      <c r="H5" s="29">
        <v>178996.68</v>
      </c>
      <c r="I5" s="29">
        <v>179175.72</v>
      </c>
      <c r="J5" s="29">
        <v>74656.55</v>
      </c>
      <c r="K5" s="29">
        <f t="shared" ref="K5:K12" si="0">+L5-J5</f>
        <v>44793.930000000008</v>
      </c>
      <c r="L5" s="29">
        <f>+J5/5*8</f>
        <v>119450.48000000001</v>
      </c>
      <c r="M5" s="29">
        <f>+N5-L5</f>
        <v>59725.239999999991</v>
      </c>
      <c r="N5" s="30">
        <f>14931.31*12</f>
        <v>179175.72</v>
      </c>
      <c r="O5" s="30">
        <f>15334.45*4</f>
        <v>61337.8</v>
      </c>
      <c r="P5" s="30">
        <f>15334.45*8</f>
        <v>122675.6</v>
      </c>
      <c r="Q5" s="30">
        <f>15334.45*12</f>
        <v>184013.40000000002</v>
      </c>
      <c r="R5" s="30">
        <f>16657.81*4</f>
        <v>66631.240000000005</v>
      </c>
      <c r="S5" s="30">
        <f>16657.81*8</f>
        <v>133262.48000000001</v>
      </c>
      <c r="T5" s="30">
        <f>16657.81*9</f>
        <v>149920.29</v>
      </c>
      <c r="U5" s="30">
        <v>199893.72</v>
      </c>
      <c r="V5" s="29">
        <f>16746.1*3</f>
        <v>50238.299999999996</v>
      </c>
      <c r="W5" s="29">
        <f>16746.1*6</f>
        <v>100476.59999999999</v>
      </c>
      <c r="X5" s="29">
        <f>16746.1*9</f>
        <v>150714.9</v>
      </c>
      <c r="Y5" s="43">
        <f>17023.54*3</f>
        <v>51070.62</v>
      </c>
    </row>
    <row r="6" spans="2:25" x14ac:dyDescent="0.3">
      <c r="B6" s="27">
        <v>3</v>
      </c>
      <c r="C6" s="28" t="s">
        <v>3</v>
      </c>
      <c r="D6" s="29">
        <v>39270.720000000001</v>
      </c>
      <c r="E6" s="29">
        <v>39270.720000000001</v>
      </c>
      <c r="F6" s="29">
        <v>39270.720000000001</v>
      </c>
      <c r="G6" s="29">
        <v>39846.32</v>
      </c>
      <c r="H6" s="29">
        <v>39952.080000000002</v>
      </c>
      <c r="I6" s="29">
        <v>39952.080000000002</v>
      </c>
      <c r="J6" s="29">
        <v>16646.7</v>
      </c>
      <c r="K6" s="29">
        <f t="shared" si="0"/>
        <v>9820.73</v>
      </c>
      <c r="L6" s="29">
        <v>26467.43</v>
      </c>
      <c r="M6" s="29">
        <f>+N6-L6</f>
        <v>13484.649999999994</v>
      </c>
      <c r="N6" s="30">
        <f>40649.13-697.05</f>
        <v>39952.079999999994</v>
      </c>
      <c r="O6" s="30">
        <f>2465*4+864.34*4</f>
        <v>13317.36</v>
      </c>
      <c r="P6" s="30">
        <f>2465*8+864.34*8</f>
        <v>26634.720000000001</v>
      </c>
      <c r="Q6" s="30">
        <f>2465*12+864.34*12</f>
        <v>39952.080000000002</v>
      </c>
      <c r="R6" s="30">
        <v>13969.919999999998</v>
      </c>
      <c r="S6" s="30">
        <v>28084.14</v>
      </c>
      <c r="T6" s="30">
        <f>31655.05-422.73</f>
        <v>31232.32</v>
      </c>
      <c r="U6" s="30">
        <v>42075.62</v>
      </c>
      <c r="V6" s="29">
        <f>2646.18*2+2662+915.55*3</f>
        <v>10701.009999999998</v>
      </c>
      <c r="W6" s="29">
        <f>2646.18*2+2662*4+915.55*6</f>
        <v>21433.66</v>
      </c>
      <c r="X6" s="29">
        <f>2646.18*2+2662*7+915.55*6+921.04*3</f>
        <v>32182.78</v>
      </c>
      <c r="Y6" s="43">
        <f>932.78*3+2687*2+2704.08</f>
        <v>10876.42</v>
      </c>
    </row>
    <row r="7" spans="2:25" hidden="1" x14ac:dyDescent="0.3">
      <c r="B7" s="27">
        <v>4</v>
      </c>
      <c r="C7" s="28" t="s">
        <v>4</v>
      </c>
      <c r="D7" s="29">
        <v>142422.24</v>
      </c>
      <c r="E7" s="29">
        <v>142422.24</v>
      </c>
      <c r="F7" s="29">
        <v>143490.44</v>
      </c>
      <c r="G7" s="29">
        <v>144781.88</v>
      </c>
      <c r="H7" s="29">
        <v>40405.919999999998</v>
      </c>
      <c r="I7" s="29">
        <v>0</v>
      </c>
      <c r="J7" s="29">
        <v>0</v>
      </c>
      <c r="K7" s="29">
        <f t="shared" si="0"/>
        <v>0</v>
      </c>
      <c r="L7" s="29">
        <v>0</v>
      </c>
      <c r="M7" s="29"/>
      <c r="N7" s="30">
        <v>0</v>
      </c>
      <c r="O7" s="31"/>
      <c r="P7" s="31"/>
      <c r="Q7" s="31"/>
      <c r="R7" s="31"/>
      <c r="S7" s="30"/>
      <c r="T7" s="30"/>
      <c r="U7" s="30"/>
      <c r="V7" s="29"/>
      <c r="W7" s="28"/>
      <c r="X7" s="28"/>
      <c r="Y7" s="43" t="e">
        <f>+#REF!/6*9</f>
        <v>#REF!</v>
      </c>
    </row>
    <row r="8" spans="2:25" hidden="1" x14ac:dyDescent="0.3">
      <c r="B8" s="27">
        <v>5</v>
      </c>
      <c r="C8" s="28" t="s">
        <v>5</v>
      </c>
      <c r="D8" s="29">
        <v>15338.76</v>
      </c>
      <c r="E8" s="29">
        <v>15338.76</v>
      </c>
      <c r="F8" s="29">
        <v>15354</v>
      </c>
      <c r="G8" s="29">
        <v>15476.76</v>
      </c>
      <c r="H8" s="29">
        <v>4342.09</v>
      </c>
      <c r="I8" s="29">
        <v>0</v>
      </c>
      <c r="J8" s="29">
        <v>0</v>
      </c>
      <c r="K8" s="29">
        <f t="shared" si="0"/>
        <v>0</v>
      </c>
      <c r="L8" s="29">
        <v>0</v>
      </c>
      <c r="M8" s="29"/>
      <c r="N8" s="30">
        <v>0</v>
      </c>
      <c r="O8" s="31"/>
      <c r="P8" s="31"/>
      <c r="Q8" s="31"/>
      <c r="R8" s="31"/>
      <c r="S8" s="30"/>
      <c r="T8" s="30"/>
      <c r="U8" s="30"/>
      <c r="V8" s="29"/>
      <c r="W8" s="28"/>
      <c r="X8" s="28"/>
      <c r="Y8" s="43" t="e">
        <f>+#REF!/6*9</f>
        <v>#REF!</v>
      </c>
    </row>
    <row r="9" spans="2:25" hidden="1" x14ac:dyDescent="0.3">
      <c r="B9" s="27">
        <v>6</v>
      </c>
      <c r="C9" s="28" t="s">
        <v>6</v>
      </c>
      <c r="D9" s="29">
        <v>527.1</v>
      </c>
      <c r="E9" s="29">
        <v>527.52</v>
      </c>
      <c r="F9" s="29">
        <v>530.69000000000005</v>
      </c>
      <c r="G9" s="29">
        <v>536.26</v>
      </c>
      <c r="H9" s="29">
        <v>536.69000000000005</v>
      </c>
      <c r="I9" s="29">
        <v>535.46</v>
      </c>
      <c r="J9" s="29">
        <v>223.11</v>
      </c>
      <c r="K9" s="29">
        <f t="shared" si="0"/>
        <v>133.86333333333334</v>
      </c>
      <c r="L9" s="29">
        <f>+I9/12*8</f>
        <v>356.97333333333336</v>
      </c>
      <c r="M9" s="29">
        <f>+N9-L9</f>
        <v>178.48666666666668</v>
      </c>
      <c r="N9" s="30">
        <f>267.73*2</f>
        <v>535.46</v>
      </c>
      <c r="O9" s="31">
        <f>+N9/12*4</f>
        <v>178.48666666666668</v>
      </c>
      <c r="P9" s="31">
        <f>+N9/12*8</f>
        <v>356.97333333333336</v>
      </c>
      <c r="Q9" s="31"/>
      <c r="R9" s="31">
        <f>+Q9/12*4</f>
        <v>0</v>
      </c>
      <c r="S9" s="30">
        <f>+R9/12*4</f>
        <v>0</v>
      </c>
      <c r="T9" s="30" t="s">
        <v>20</v>
      </c>
      <c r="U9" s="30"/>
      <c r="V9" s="29"/>
      <c r="W9" s="28"/>
      <c r="X9" s="28"/>
      <c r="Y9" s="43" t="e">
        <f>+#REF!/6*9</f>
        <v>#REF!</v>
      </c>
    </row>
    <row r="10" spans="2:25" x14ac:dyDescent="0.3">
      <c r="B10" s="27">
        <v>7</v>
      </c>
      <c r="C10" s="28" t="s">
        <v>7</v>
      </c>
      <c r="D10" s="29">
        <v>0</v>
      </c>
      <c r="E10" s="29">
        <v>0</v>
      </c>
      <c r="F10" s="29"/>
      <c r="G10" s="29">
        <v>0</v>
      </c>
      <c r="H10" s="29">
        <v>44000</v>
      </c>
      <c r="I10" s="29">
        <v>44000</v>
      </c>
      <c r="J10" s="29">
        <v>27500</v>
      </c>
      <c r="K10" s="29">
        <f t="shared" si="0"/>
        <v>16500</v>
      </c>
      <c r="L10" s="29">
        <f>+J10/5*8</f>
        <v>44000</v>
      </c>
      <c r="M10" s="29">
        <f>+N10-L10</f>
        <v>22000</v>
      </c>
      <c r="N10" s="30">
        <v>66000</v>
      </c>
      <c r="O10" s="30">
        <f>16970.25/3*4</f>
        <v>22627</v>
      </c>
      <c r="P10" s="30">
        <f>16970.25/3*8</f>
        <v>45254</v>
      </c>
      <c r="Q10" s="30">
        <f>16970.25*4</f>
        <v>67881</v>
      </c>
      <c r="R10" s="30">
        <f>18418.13/3*4</f>
        <v>24557.506666666668</v>
      </c>
      <c r="S10" s="30">
        <f>6136.16*8</f>
        <v>49089.279999999999</v>
      </c>
      <c r="T10" s="30">
        <f>6136.16*9</f>
        <v>55225.440000000002</v>
      </c>
      <c r="U10" s="30">
        <v>73633.919999999998</v>
      </c>
      <c r="V10" s="29">
        <v>18491.310000000001</v>
      </c>
      <c r="W10" s="29">
        <f>18491.31*2</f>
        <v>36982.620000000003</v>
      </c>
      <c r="X10" s="29">
        <f>18491.31*3</f>
        <v>55473.930000000008</v>
      </c>
      <c r="Y10" s="43">
        <v>18797.68</v>
      </c>
    </row>
    <row r="11" spans="2:25" x14ac:dyDescent="0.3">
      <c r="B11" s="27">
        <v>8</v>
      </c>
      <c r="C11" s="28" t="s">
        <v>8</v>
      </c>
      <c r="D11" s="29">
        <v>500.75</v>
      </c>
      <c r="E11" s="29">
        <v>500.75</v>
      </c>
      <c r="F11" s="29">
        <v>500</v>
      </c>
      <c r="G11" s="29">
        <v>503</v>
      </c>
      <c r="H11" s="29">
        <v>506.77</v>
      </c>
      <c r="I11" s="29">
        <v>508.29</v>
      </c>
      <c r="J11" s="29">
        <v>211.79</v>
      </c>
      <c r="K11" s="29">
        <f t="shared" si="0"/>
        <v>127.07000000000002</v>
      </c>
      <c r="L11" s="29">
        <f>+I11/12*8</f>
        <v>338.86</v>
      </c>
      <c r="M11" s="29">
        <f>+N11-L11</f>
        <v>169.43</v>
      </c>
      <c r="N11" s="30">
        <v>508.29</v>
      </c>
      <c r="O11" s="30">
        <f>522.78/12*4</f>
        <v>174.26</v>
      </c>
      <c r="P11" s="30">
        <f>522.78/12*8</f>
        <v>348.52</v>
      </c>
      <c r="Q11" s="30">
        <v>522.78</v>
      </c>
      <c r="R11" s="30">
        <f>+Q11/12*4</f>
        <v>174.26</v>
      </c>
      <c r="S11" s="30">
        <f>550.82/12*8</f>
        <v>367.21333333333337</v>
      </c>
      <c r="T11" s="30">
        <f>550.82/12*9</f>
        <v>413.11500000000001</v>
      </c>
      <c r="U11" s="30">
        <v>550.82000000000005</v>
      </c>
      <c r="V11" s="29">
        <f>+ROUND(78.0833333333333*3,2)</f>
        <v>234.25</v>
      </c>
      <c r="W11" s="29">
        <f>+ROUND(78.0833333333333*6,2)</f>
        <v>468.5</v>
      </c>
      <c r="X11" s="29">
        <f>+ROUND(78.0833333333333*9,2)</f>
        <v>702.75</v>
      </c>
      <c r="Y11" s="43">
        <f>78.0833333333333*3</f>
        <v>234.24999999999989</v>
      </c>
    </row>
    <row r="12" spans="2:25" x14ac:dyDescent="0.3">
      <c r="B12" s="32">
        <v>9</v>
      </c>
      <c r="C12" s="33" t="s">
        <v>9</v>
      </c>
      <c r="D12" s="34">
        <v>68204</v>
      </c>
      <c r="E12" s="34">
        <v>68203.990000000005</v>
      </c>
      <c r="F12" s="34">
        <v>81599.839999999997</v>
      </c>
      <c r="G12" s="34">
        <v>91204</v>
      </c>
      <c r="H12" s="34">
        <v>91204</v>
      </c>
      <c r="I12" s="34">
        <v>91204</v>
      </c>
      <c r="J12" s="34">
        <f>+I12/2.4</f>
        <v>38001.666666666672</v>
      </c>
      <c r="K12" s="35">
        <f t="shared" si="0"/>
        <v>22800.999999999993</v>
      </c>
      <c r="L12" s="34">
        <f>+I12/12*8</f>
        <v>60802.666666666664</v>
      </c>
      <c r="M12" s="34">
        <f>+N12-L12</f>
        <v>30401.333333333307</v>
      </c>
      <c r="N12" s="36">
        <f>7600.33333333333*12</f>
        <v>91203.999999999971</v>
      </c>
      <c r="O12" s="37">
        <f>7600.33333333333*4</f>
        <v>30401.333333333321</v>
      </c>
      <c r="P12" s="37">
        <f>7600.33333333333*8</f>
        <v>60802.666666666642</v>
      </c>
      <c r="Q12" s="37">
        <f>833.333333333333*5+94622.54</f>
        <v>98789.206666666665</v>
      </c>
      <c r="R12" s="37">
        <f>2500+32827.69</f>
        <v>35327.69</v>
      </c>
      <c r="S12" s="37">
        <f>65865.73+6666.67</f>
        <v>72532.399999999994</v>
      </c>
      <c r="T12" s="38">
        <f>7500+74335.84</f>
        <v>81835.839999999997</v>
      </c>
      <c r="U12" s="38">
        <v>109654.08</v>
      </c>
      <c r="V12" s="39">
        <f>8562.18+8470.11*2+833.333333333333*3</f>
        <v>28002.400000000001</v>
      </c>
      <c r="W12" s="40">
        <f>ROUND(8562.18+8470.11*3+25562.78/3*2+833.34+2500+2515/3*2,2)</f>
        <v>56024.37</v>
      </c>
      <c r="X12" s="41">
        <f>ROUND(8562.18+8470.11*3+25562.78/3*5+833.34+2500+2515/3*5,2)</f>
        <v>84102.15</v>
      </c>
      <c r="Y12" s="44">
        <f>9478.58+28435.8/3*2</f>
        <v>28435.78</v>
      </c>
    </row>
    <row r="13" spans="2:25" hidden="1" x14ac:dyDescent="0.3">
      <c r="B13" s="2"/>
      <c r="C13" s="2" t="s">
        <v>21</v>
      </c>
      <c r="D13" s="3"/>
      <c r="E13" s="3"/>
      <c r="F13" s="3"/>
      <c r="G13" s="3"/>
      <c r="H13" s="3"/>
      <c r="I13" s="3"/>
      <c r="J13" s="3"/>
      <c r="K13" s="4"/>
      <c r="L13" s="3"/>
      <c r="M13" s="3"/>
      <c r="N13" s="15"/>
      <c r="O13" s="12"/>
      <c r="P13" s="12"/>
      <c r="Q13" s="12">
        <v>5510.09</v>
      </c>
      <c r="R13" s="12">
        <f>2189.91+1977.98+2100+2100</f>
        <v>8367.89</v>
      </c>
      <c r="S13" s="12">
        <f>2189.91+1977.98+2100*6</f>
        <v>16767.89</v>
      </c>
      <c r="T13" s="14">
        <f>2189.91+1977.98+2100*7</f>
        <v>18867.89</v>
      </c>
      <c r="U13" s="12">
        <f>2189.91+1977.98+2100*10</f>
        <v>25167.89</v>
      </c>
      <c r="V13" s="1"/>
      <c r="X13" s="1"/>
    </row>
    <row r="14" spans="2:25" ht="15.75" customHeight="1" x14ac:dyDescent="0.3">
      <c r="D14" s="1">
        <f t="shared" ref="D14:O14" si="1">SUM(D3:D12)</f>
        <v>476212.89</v>
      </c>
      <c r="E14" s="1">
        <f t="shared" si="1"/>
        <v>476213.30000000005</v>
      </c>
      <c r="F14" s="1">
        <f t="shared" si="1"/>
        <v>499869.97</v>
      </c>
      <c r="G14" s="1">
        <f t="shared" si="1"/>
        <v>521873.5</v>
      </c>
      <c r="H14" s="1">
        <f t="shared" si="1"/>
        <v>452944.23000000004</v>
      </c>
      <c r="I14" s="1">
        <f t="shared" si="1"/>
        <v>408375.55</v>
      </c>
      <c r="J14" s="1">
        <f t="shared" si="1"/>
        <v>179323.14666666667</v>
      </c>
      <c r="K14" s="1">
        <f t="shared" si="1"/>
        <v>107426.59666666668</v>
      </c>
      <c r="L14" s="1">
        <f t="shared" si="1"/>
        <v>286749.74333333335</v>
      </c>
      <c r="M14" s="1">
        <f t="shared" si="1"/>
        <v>145375.80666666661</v>
      </c>
      <c r="N14" s="13">
        <f t="shared" si="1"/>
        <v>432125.54999999993</v>
      </c>
      <c r="O14" s="13">
        <f t="shared" si="1"/>
        <v>148036.24</v>
      </c>
      <c r="P14" s="13">
        <f>SUM(P3:P12)</f>
        <v>296072.48</v>
      </c>
      <c r="Q14" s="13">
        <f>SUM(Q3:Q12)</f>
        <v>451993.71666666673</v>
      </c>
      <c r="R14" s="13">
        <f t="shared" ref="R14:U14" si="2">SUM(R3:R12)</f>
        <v>161772.61666666667</v>
      </c>
      <c r="S14" s="13">
        <f t="shared" si="2"/>
        <v>325562.79333333333</v>
      </c>
      <c r="T14" s="13">
        <f t="shared" si="2"/>
        <v>366132.69499999995</v>
      </c>
      <c r="U14" s="13">
        <f t="shared" si="2"/>
        <v>488937.94</v>
      </c>
      <c r="V14" s="1"/>
    </row>
    <row r="17" spans="6:22" x14ac:dyDescent="0.3">
      <c r="O17" s="7"/>
    </row>
    <row r="18" spans="6:22" x14ac:dyDescent="0.3">
      <c r="O18" s="7"/>
      <c r="T18" s="5"/>
      <c r="U18" s="5"/>
      <c r="V18" s="11"/>
    </row>
    <row r="19" spans="6:22" x14ac:dyDescent="0.3">
      <c r="F19" s="6"/>
    </row>
    <row r="20" spans="6:22" x14ac:dyDescent="0.3">
      <c r="F20" s="6"/>
      <c r="G20" s="6"/>
      <c r="O20" s="8"/>
    </row>
    <row r="21" spans="6:22" x14ac:dyDescent="0.3">
      <c r="F21" s="6"/>
      <c r="G21" s="6"/>
      <c r="O21" s="8"/>
    </row>
  </sheetData>
  <pageMargins left="0.7" right="0.7" top="0.75" bottom="0.75" header="0.3" footer="0.3"/>
  <pageSetup paperSize="9" scale="7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55E2-58B0-474A-A3DD-ECD11736294F}">
  <dimension ref="B2:D9"/>
  <sheetViews>
    <sheetView workbookViewId="0">
      <selection activeCell="B2" sqref="B2"/>
    </sheetView>
  </sheetViews>
  <sheetFormatPr defaultRowHeight="14.4" x14ac:dyDescent="0.3"/>
  <cols>
    <col min="1" max="1" width="25.5546875" customWidth="1"/>
    <col min="2" max="2" width="21.21875" customWidth="1"/>
    <col min="3" max="3" width="14.21875" customWidth="1"/>
    <col min="4" max="4" width="17.6640625" customWidth="1"/>
  </cols>
  <sheetData>
    <row r="2" spans="2:4" ht="15" thickBot="1" x14ac:dyDescent="0.35">
      <c r="B2" t="s">
        <v>27</v>
      </c>
    </row>
    <row r="3" spans="2:4" ht="15" thickBot="1" x14ac:dyDescent="0.35">
      <c r="B3" s="51" t="s">
        <v>0</v>
      </c>
      <c r="C3" s="52" t="s">
        <v>1</v>
      </c>
      <c r="D3" s="53">
        <v>46203</v>
      </c>
    </row>
    <row r="4" spans="2:4" x14ac:dyDescent="0.3">
      <c r="B4" s="45">
        <v>1</v>
      </c>
      <c r="C4" t="s">
        <v>15</v>
      </c>
      <c r="D4" s="46">
        <v>30810</v>
      </c>
    </row>
    <row r="5" spans="2:4" x14ac:dyDescent="0.3">
      <c r="B5" s="45">
        <v>2</v>
      </c>
      <c r="C5" t="s">
        <v>2</v>
      </c>
      <c r="D5" s="46">
        <v>102141</v>
      </c>
    </row>
    <row r="6" spans="2:4" x14ac:dyDescent="0.3">
      <c r="B6" s="45">
        <v>3</v>
      </c>
      <c r="C6" t="s">
        <v>3</v>
      </c>
      <c r="D6" s="46">
        <v>21787</v>
      </c>
    </row>
    <row r="7" spans="2:4" x14ac:dyDescent="0.3">
      <c r="B7" s="45">
        <v>7</v>
      </c>
      <c r="C7" t="s">
        <v>7</v>
      </c>
      <c r="D7" s="46">
        <v>37595</v>
      </c>
    </row>
    <row r="8" spans="2:4" x14ac:dyDescent="0.3">
      <c r="B8" s="45">
        <v>8</v>
      </c>
      <c r="C8" t="s">
        <v>8</v>
      </c>
      <c r="D8" s="47">
        <v>469</v>
      </c>
    </row>
    <row r="9" spans="2:4" ht="15" thickBot="1" x14ac:dyDescent="0.35">
      <c r="B9" s="48">
        <v>9</v>
      </c>
      <c r="C9" s="49" t="s">
        <v>9</v>
      </c>
      <c r="D9" s="50">
        <v>57241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12FE-F071-4981-811A-545141DECC32}">
  <dimension ref="B3:E10"/>
  <sheetViews>
    <sheetView tabSelected="1" workbookViewId="0">
      <selection activeCell="A10" sqref="A10"/>
    </sheetView>
  </sheetViews>
  <sheetFormatPr defaultRowHeight="14.4" x14ac:dyDescent="0.3"/>
  <cols>
    <col min="1" max="1" width="34.5546875" customWidth="1"/>
    <col min="2" max="2" width="20.88671875" customWidth="1"/>
    <col min="3" max="3" width="18.109375" customWidth="1"/>
    <col min="4" max="4" width="25.88671875" customWidth="1"/>
  </cols>
  <sheetData>
    <row r="3" spans="2:5" ht="15" thickBot="1" x14ac:dyDescent="0.35">
      <c r="B3" t="s">
        <v>28</v>
      </c>
    </row>
    <row r="4" spans="2:5" ht="15" thickBot="1" x14ac:dyDescent="0.35">
      <c r="B4" s="56" t="s">
        <v>0</v>
      </c>
      <c r="C4" s="57" t="s">
        <v>1</v>
      </c>
      <c r="D4" s="58">
        <v>46295</v>
      </c>
      <c r="E4" s="54"/>
    </row>
    <row r="5" spans="2:5" x14ac:dyDescent="0.3">
      <c r="B5" s="59">
        <v>1</v>
      </c>
      <c r="C5" s="60" t="s">
        <v>15</v>
      </c>
      <c r="D5" s="61">
        <v>46215.180000000008</v>
      </c>
      <c r="E5" s="55"/>
    </row>
    <row r="6" spans="2:5" x14ac:dyDescent="0.3">
      <c r="B6" s="62">
        <v>2</v>
      </c>
      <c r="C6" s="28" t="s">
        <v>2</v>
      </c>
      <c r="D6" s="63">
        <v>153211.86000000002</v>
      </c>
      <c r="E6" s="55"/>
    </row>
    <row r="7" spans="2:5" x14ac:dyDescent="0.3">
      <c r="B7" s="62">
        <v>3</v>
      </c>
      <c r="C7" s="28" t="s">
        <v>3</v>
      </c>
      <c r="D7" s="63">
        <v>32752.149999999998</v>
      </c>
      <c r="E7" s="55"/>
    </row>
    <row r="8" spans="2:5" x14ac:dyDescent="0.3">
      <c r="B8" s="62">
        <v>7</v>
      </c>
      <c r="C8" s="28" t="s">
        <v>7</v>
      </c>
      <c r="D8" s="63">
        <v>56393.04</v>
      </c>
      <c r="E8" s="55"/>
    </row>
    <row r="9" spans="2:5" x14ac:dyDescent="0.3">
      <c r="B9" s="62">
        <v>8</v>
      </c>
      <c r="C9" s="28" t="s">
        <v>8</v>
      </c>
      <c r="D9" s="63">
        <v>702.74999999999966</v>
      </c>
      <c r="E9" s="55"/>
    </row>
    <row r="10" spans="2:5" ht="15" thickBot="1" x14ac:dyDescent="0.35">
      <c r="B10" s="64">
        <v>9</v>
      </c>
      <c r="C10" s="65" t="s">
        <v>9</v>
      </c>
      <c r="D10" s="66">
        <v>86231.47</v>
      </c>
      <c r="E10" s="5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31.3.26</vt:lpstr>
      <vt:lpstr>30.6.26</vt:lpstr>
      <vt:lpstr>30.9.26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Pedroncelli</dc:creator>
  <cp:lastModifiedBy>Tamara Marena</cp:lastModifiedBy>
  <cp:lastPrinted>2021-08-31T08:02:29Z</cp:lastPrinted>
  <dcterms:created xsi:type="dcterms:W3CDTF">2021-08-31T06:29:13Z</dcterms:created>
  <dcterms:modified xsi:type="dcterms:W3CDTF">2026-10-15T08:14:53Z</dcterms:modified>
</cp:coreProperties>
</file>